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Обоснование НМЦК" sheetId="4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4" l="1"/>
  <c r="M54" i="4" s="1"/>
  <c r="M55" i="4" s="1"/>
  <c r="M56" i="4" s="1"/>
  <c r="F32" i="4" l="1"/>
  <c r="F11" i="4" l="1"/>
  <c r="F15" i="4" s="1"/>
  <c r="F25" i="4"/>
  <c r="F23" i="4" s="1"/>
  <c r="F19" i="4" l="1"/>
  <c r="F18" i="4"/>
  <c r="F20" i="4" l="1"/>
  <c r="F22" i="4" s="1"/>
  <c r="F31" i="4" s="1"/>
  <c r="F34" i="4" l="1"/>
  <c r="F35" i="4" s="1"/>
  <c r="F37" i="4" l="1"/>
  <c r="F38" i="4"/>
  <c r="F40" i="4" l="1"/>
  <c r="G44" i="4" s="1"/>
</calcChain>
</file>

<file path=xl/sharedStrings.xml><?xml version="1.0" encoding="utf-8"?>
<sst xmlns="http://schemas.openxmlformats.org/spreadsheetml/2006/main" count="173" uniqueCount="118">
  <si>
    <t>Наименование показателя</t>
  </si>
  <si>
    <t>Ки</t>
  </si>
  <si>
    <t>СНР</t>
  </si>
  <si>
    <t>БЗП</t>
  </si>
  <si>
    <t>МРОТ</t>
  </si>
  <si>
    <t>Дн</t>
  </si>
  <si>
    <t>Двп</t>
  </si>
  <si>
    <t>Дрк</t>
  </si>
  <si>
    <t>СВ</t>
  </si>
  <si>
    <t>РО</t>
  </si>
  <si>
    <t>Y</t>
  </si>
  <si>
    <t>U</t>
  </si>
  <si>
    <t>(Си*Ки)+КР+П)*Iинфл+НДС</t>
  </si>
  <si>
    <t>Значения, изменяемые заказчиком</t>
  </si>
  <si>
    <t>Си=
(БЗП+Дн+Двп+Дрк+РО+СВ)*U</t>
  </si>
  <si>
    <t>КР=
(Си*Ки)*0,2</t>
  </si>
  <si>
    <t>П=
((Си*Ки)+КР)*0,05</t>
  </si>
  <si>
    <t>№ п/п</t>
  </si>
  <si>
    <t>Единица измерения</t>
  </si>
  <si>
    <t>мес</t>
  </si>
  <si>
    <t>час</t>
  </si>
  <si>
    <t>Период работы поста в ночное время (с 22:00 до 6:00)</t>
  </si>
  <si>
    <t>Общее количество дней охраны</t>
  </si>
  <si>
    <t>день</t>
  </si>
  <si>
    <t>Количество нерабочих праздничных дней</t>
  </si>
  <si>
    <t>руб/час</t>
  </si>
  <si>
    <t>Дополнительные коэффициенты:</t>
  </si>
  <si>
    <t>Массовые мероприятия</t>
  </si>
  <si>
    <t>Базовый коэффициент</t>
  </si>
  <si>
    <t>Наличие спецсредств</t>
  </si>
  <si>
    <t>Наличие оружия</t>
  </si>
  <si>
    <t>Объект антитеррора</t>
  </si>
  <si>
    <t>Допуск к гостайне</t>
  </si>
  <si>
    <t>Суммарное значение дополнительных коэффициентов не может превышать 0,35</t>
  </si>
  <si>
    <t>при наличии требований устанавливается 0,05</t>
  </si>
  <si>
    <t>при наличии требований устанавливается 0,2</t>
  </si>
  <si>
    <t>при наличии требований устанавливается 0,3</t>
  </si>
  <si>
    <t>при наличии требований устанавливается 0,1</t>
  </si>
  <si>
    <t>х</t>
  </si>
  <si>
    <t>руб/мес</t>
  </si>
  <si>
    <t>час/мес</t>
  </si>
  <si>
    <t>Индекс потребительских цен</t>
  </si>
  <si>
    <t>Пояснения</t>
  </si>
  <si>
    <t>Минимальный размер оплаты труда</t>
  </si>
  <si>
    <t>Среднемесячное количество рабочих часов</t>
  </si>
  <si>
    <t>Сокращенное наименование показателя</t>
  </si>
  <si>
    <t>Базовая заработная плата</t>
  </si>
  <si>
    <t xml:space="preserve"> - </t>
  </si>
  <si>
    <t xml:space="preserve"> -</t>
  </si>
  <si>
    <t>Доплата за работу в ночное время</t>
  </si>
  <si>
    <t>указывается в соответствии с потребностями заказчика</t>
  </si>
  <si>
    <t>Доплата за работу в выходные  и праздничные дни</t>
  </si>
  <si>
    <t>Доплата за работу в районах Крайнего Севера и приравненных к ним местностях</t>
  </si>
  <si>
    <t xml:space="preserve">коэффициент равен 0,3 для Асиновского, Бакчарского, Зырянского, Кожевниковского, Кривошеинского, Молчановского, Первомайского, Тегульдетского, Томского и Шегарского районов, г. Томск;
коэффициент  равен 0,5 для  Александровского, Верхнекетского, Каргасокского, Колпашевского, Парабельского и Чаинского районов, г. Кедровый, г. Северск </t>
  </si>
  <si>
    <t>Резерв на отпуск</t>
  </si>
  <si>
    <t>Страховые взносы</t>
  </si>
  <si>
    <t>Ставка страховых взносов</t>
  </si>
  <si>
    <t>Корректирующий коэффициент</t>
  </si>
  <si>
    <t xml:space="preserve">рассчитывается автоматически </t>
  </si>
  <si>
    <t>Uд</t>
  </si>
  <si>
    <t>Uб</t>
  </si>
  <si>
    <t>Прямые затраты</t>
  </si>
  <si>
    <t>Количество часов работы работника по контракту на 1 посту охраны</t>
  </si>
  <si>
    <t>Косвенные расходы</t>
  </si>
  <si>
    <t>Стоимость выполнения работ по проектированию , монтажу и эксплутационному обслуживанию технических средств охраны</t>
  </si>
  <si>
    <t>Iинфл</t>
  </si>
  <si>
    <t>Количество постов охраны</t>
  </si>
  <si>
    <t>n</t>
  </si>
  <si>
    <t>Прибыль</t>
  </si>
  <si>
    <t>Значения, не изменяемые заказчиком</t>
  </si>
  <si>
    <t>Режим работы поста
(часов в сутки)</t>
  </si>
  <si>
    <t>Срок оказания охранных услуг (в месяцах)</t>
  </si>
  <si>
    <t>в случае, если охранные услуги не оказываются в ночное время (с 22:00 до 6:00 часов) указывается значение равное 0</t>
  </si>
  <si>
    <t>количество дней за весь срок оказания охранных услуг</t>
  </si>
  <si>
    <t>стоимость указывается без НДС, так как расчет НДС предусмотрен формулой расчета НМЦК</t>
  </si>
  <si>
    <t>принимается равным 1, если расчет НМЦК и начало срока действия контракта приходятся на один календарный год,
иначе рассчитывается как средне арифметическое между индексами на каждый год срока действия контракта в соответствии с ПП РФ от 14.11.2015 №1234</t>
  </si>
  <si>
    <t>НМЦК в месяц</t>
  </si>
  <si>
    <t>количество нерабочих праздничных дней за весь срок оказания охранных услуг (согласно производственному календарю);
в случае, если охранные услуги не оказываются в нерабочие праздничные дни указывается значение равное 0</t>
  </si>
  <si>
    <t xml:space="preserve">Uб = 1 - пост охраны в составе 1 работника с режимом работы 24 часа
Uб = 1,5 - пост охраны в составе 1 работника с режимом работы 12 часов
Uб = 2-0,0417*количество часов работы поста - пост охраны в составе 1 работника с режимом работы, отличным от 24 и 12 ч (но не более 24 ч и не менее 3 ч ) </t>
  </si>
  <si>
    <t>расчет произведен для одного поста охраны в составе одного работника;
в случае необходимости наличия нескольких постов охраны с одниковыми условиями и режимом работы значение показателя может быть изменено и расчет НМЦК будет произведен автоматически</t>
  </si>
  <si>
    <t>Cто</t>
  </si>
  <si>
    <t>Итого стоимость 1 - го часа</t>
  </si>
  <si>
    <t>УСН</t>
  </si>
  <si>
    <t>НДС</t>
  </si>
  <si>
    <t>Налог на добавленную стоимость 5%</t>
  </si>
  <si>
    <t>Налог при упрощенной системе налогообложения (доходы) 6%</t>
  </si>
  <si>
    <r>
      <rPr>
        <u/>
        <sz val="14"/>
        <color theme="1"/>
        <rFont val="PT Astra Serif"/>
        <family val="1"/>
        <charset val="204"/>
      </rPr>
      <t>Среднемесячное количество рабочих часов</t>
    </r>
    <r>
      <rPr>
        <sz val="14"/>
        <color theme="1"/>
        <rFont val="PT Astra Serif"/>
        <family val="2"/>
        <charset val="204"/>
      </rPr>
      <t xml:space="preserve">
Количество рабочих часов в год по производственному календарю на 2026 год для 40-часовой пятидневной раб.нед (12 мес с 01.01.2026)</t>
    </r>
  </si>
  <si>
    <t xml:space="preserve">Приложение № 2 </t>
  </si>
  <si>
    <t>к извещению об осуществлении аукциона в электронной форме</t>
  </si>
  <si>
    <t>ОБОСНОВАНИЕ НАЧАЛЬНОЙ (МАКСИМАЛЬНОЙ) ЦЕНЫ КОНТРАКТА (расчет произведен для одного поста охраны в составе одного работника и режимом работы 24 часа  в неделю  на 2026 год (с 01.04 по 31.07))</t>
  </si>
  <si>
    <t>Определение и обоснование начальной (максимальной) цены контракта произведено номативным методом в соответствии с требованиями части 22 статьи 22 Федерального закона от 5 апреля 2013г. № 44-ФЗ «О контрактной системе в сфере закупок товаров, работ, услуг для обеспечения государственных и муниципальных нужд», пункта 1 Постановления Правительства РФ от 8 мая 2020 г. N 645 "О федеральном органе исполнительной власти, уполномоченном на установление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услуг", Приказа Федеральной службы войск национальной гвардии РФ от 15 февраля 2021 г. N 45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услуг".</t>
  </si>
  <si>
    <t>НМЦК (24 часа) = 2630485,92</t>
  </si>
  <si>
    <t xml:space="preserve">В связи с отсутствием необходимых лимитов бюджетных обязательств, согласно показателям бюджетной сметы, </t>
  </si>
  <si>
    <t>Расчет начальной (максимальной) цены контракта сформирован заказчиком на основании ответов на запросы ценовой информации</t>
  </si>
  <si>
    <t>№ п.п</t>
  </si>
  <si>
    <t>Код по КТРУ</t>
  </si>
  <si>
    <t>Наименование  услуги</t>
  </si>
  <si>
    <t>Характеристика услуги</t>
  </si>
  <si>
    <t>Ед.     товара</t>
  </si>
  <si>
    <t>Кол-во</t>
  </si>
  <si>
    <t>Единичные цены за 1 час, 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</si>
  <si>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</si>
  <si>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 *</t>
  </si>
  <si>
    <t>Средняя цена, руб.</t>
  </si>
  <si>
    <t xml:space="preserve">Среднее квадратичное отклонение   </t>
  </si>
  <si>
    <t xml:space="preserve">Коэффициент вариации цен V (%)    </t>
  </si>
  <si>
    <t>80.10.12.000-00000003</t>
  </si>
  <si>
    <t>Оказание услуг частной охраны (Выставление поста охраны)</t>
  </si>
  <si>
    <t>Оказание услуг по охране объекта с 00.00 до 24.00</t>
  </si>
  <si>
    <t>человеко-час</t>
  </si>
  <si>
    <t>ИТОГО:</t>
  </si>
  <si>
    <t>ВСЕГО: Начальная (максимальная) цена контракта</t>
  </si>
  <si>
    <t>принято решение установить НМЦК в размере: 1 112 640 (один миллион сто двенадцать тысяч шестьсот сорок) рублей 00 копеек.</t>
  </si>
  <si>
    <t>1* (исх. От 03.02.2026 №007-26)</t>
  </si>
  <si>
    <t>2* (исх. от 02.03.2026 № 13)</t>
  </si>
  <si>
    <t>3* (исх. от 02.03.2026 № 8)</t>
  </si>
  <si>
    <r>
      <t xml:space="preserve">Начальная макисмальная цена контракта составляет </t>
    </r>
    <r>
      <rPr>
        <b/>
        <sz val="11"/>
        <color theme="1"/>
        <rFont val="PT Astra Serif"/>
        <family val="1"/>
        <charset val="204"/>
      </rPr>
      <t>1 112 640</t>
    </r>
    <r>
      <rPr>
        <sz val="11"/>
        <color theme="1"/>
        <rFont val="PT Astra Serif"/>
        <family val="2"/>
        <charset val="204"/>
      </rPr>
      <t xml:space="preserve"> (один миллион сто двенадцать тысяч шестьсот сорок) рублей </t>
    </r>
    <r>
      <rPr>
        <b/>
        <sz val="11"/>
        <color theme="1"/>
        <rFont val="PT Astra Serif"/>
        <family val="1"/>
        <charset val="204"/>
      </rPr>
      <t>00</t>
    </r>
    <r>
      <rPr>
        <sz val="11"/>
        <color theme="1"/>
        <rFont val="PT Astra Serif"/>
        <family val="2"/>
        <charset val="204"/>
      </rPr>
      <t xml:space="preserve"> копеек.</t>
    </r>
  </si>
  <si>
    <t>Исп. Специалист-эксперт Королева Н.Б., 834675 77000 (294)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</si>
</sst>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%"/>
  </numFmts>
  <fonts count="19" x14ac:knownFonts="1">
    <font>
      <sz val="11"/>
      <color theme="1"/>
      <name val="PT Astra Serif"/>
      <family val="2"/>
      <charset val="204"/>
    </font>
    <font>
      <sz val="14"/>
      <color theme="1"/>
      <name val="PT Astra Serif"/>
      <family val="2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u/>
      <sz val="14"/>
      <color theme="1"/>
      <name val="PT Astra Serif"/>
      <family val="1"/>
      <charset val="204"/>
    </font>
    <font>
      <sz val="14"/>
      <name val="PT Astra Serif"/>
      <family val="2"/>
      <charset val="204"/>
    </font>
    <font>
      <b/>
      <sz val="14"/>
      <color theme="1"/>
      <name val="PT Astra Serif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PT Astra Serif"/>
      <family val="1"/>
      <charset val="204"/>
    </font>
    <font>
      <sz val="14"/>
      <color rgb="FFFF0000"/>
      <name val="PT Astra Serif"/>
      <family val="2"/>
      <charset val="204"/>
    </font>
    <font>
      <sz val="11"/>
      <color theme="1"/>
      <name val="PT Astra Serif"/>
      <family val="2"/>
      <charset val="204"/>
    </font>
    <font>
      <b/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b/>
      <sz val="11"/>
      <color theme="1"/>
      <name val="PT Astra Serif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/>
    <xf numFmtId="2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wrapText="1"/>
    </xf>
    <xf numFmtId="2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wrapText="1"/>
    </xf>
    <xf numFmtId="4" fontId="2" fillId="0" borderId="3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0" fillId="0" borderId="1" xfId="0" applyNumberFormat="1" applyFont="1" applyBorder="1" applyAlignment="1"/>
    <xf numFmtId="0" fontId="6" fillId="0" borderId="2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/>
    <xf numFmtId="0" fontId="1" fillId="0" borderId="2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 applyFill="1"/>
    <xf numFmtId="0" fontId="14" fillId="0" borderId="0" xfId="0" applyFont="1" applyBorder="1" applyAlignment="1">
      <alignment vertical="top" wrapText="1"/>
    </xf>
    <xf numFmtId="43" fontId="15" fillId="0" borderId="0" xfId="1" applyFont="1" applyBorder="1" applyAlignment="1">
      <alignment vertical="top" wrapText="1"/>
    </xf>
    <xf numFmtId="43" fontId="15" fillId="0" borderId="0" xfId="1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3" fontId="15" fillId="0" borderId="1" xfId="1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3" fontId="13" fillId="0" borderId="1" xfId="1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/>
    <xf numFmtId="0" fontId="17" fillId="0" borderId="0" xfId="0" applyFont="1" applyBorder="1" applyAlignment="1">
      <alignment horizontal="right" vertical="center"/>
    </xf>
    <xf numFmtId="4" fontId="13" fillId="0" borderId="0" xfId="0" applyNumberFormat="1" applyFont="1" applyFill="1" applyBorder="1"/>
    <xf numFmtId="4" fontId="13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0" fillId="0" borderId="0" xfId="0" applyFont="1"/>
    <xf numFmtId="2" fontId="0" fillId="0" borderId="0" xfId="0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13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view="pageLayout" topLeftCell="A49" zoomScale="89" zoomScaleNormal="70" zoomScalePageLayoutView="89" workbookViewId="0">
      <selection activeCell="C54" sqref="C54"/>
    </sheetView>
  </sheetViews>
  <sheetFormatPr defaultRowHeight="15" x14ac:dyDescent="0.25"/>
  <cols>
    <col min="1" max="1" width="8.125" customWidth="1"/>
    <col min="2" max="2" width="29.375" customWidth="1"/>
    <col min="3" max="3" width="14.875" customWidth="1"/>
    <col min="4" max="4" width="11.625" customWidth="1"/>
    <col min="5" max="5" width="20" customWidth="1"/>
    <col min="6" max="6" width="18.625" customWidth="1"/>
    <col min="7" max="7" width="72.25" customWidth="1"/>
    <col min="13" max="13" width="11.75" customWidth="1"/>
  </cols>
  <sheetData>
    <row r="1" spans="1:7" ht="15" customHeight="1" x14ac:dyDescent="0.25">
      <c r="G1" s="48" t="s">
        <v>87</v>
      </c>
    </row>
    <row r="2" spans="1:7" x14ac:dyDescent="0.25">
      <c r="G2" s="48" t="s">
        <v>88</v>
      </c>
    </row>
    <row r="3" spans="1:7" ht="24" customHeight="1" x14ac:dyDescent="0.25"/>
    <row r="4" spans="1:7" ht="34.5" customHeight="1" x14ac:dyDescent="0.25">
      <c r="A4" s="87" t="s">
        <v>89</v>
      </c>
      <c r="B4" s="87"/>
      <c r="C4" s="87"/>
      <c r="D4" s="87"/>
      <c r="E4" s="87"/>
      <c r="F4" s="87"/>
      <c r="G4" s="87"/>
    </row>
    <row r="6" spans="1:7" ht="90" customHeight="1" x14ac:dyDescent="0.25">
      <c r="A6" s="88" t="s">
        <v>90</v>
      </c>
      <c r="B6" s="88"/>
      <c r="C6" s="88"/>
      <c r="D6" s="88"/>
      <c r="E6" s="88"/>
      <c r="F6" s="88"/>
      <c r="G6" s="88"/>
    </row>
    <row r="7" spans="1:7" ht="18.75" x14ac:dyDescent="0.3">
      <c r="A7" s="1"/>
      <c r="B7" s="1"/>
      <c r="C7" s="1"/>
      <c r="D7" s="1"/>
      <c r="E7" s="1"/>
      <c r="F7" s="1"/>
      <c r="G7" s="1"/>
    </row>
    <row r="8" spans="1:7" ht="93.75" x14ac:dyDescent="0.25">
      <c r="A8" s="2" t="s">
        <v>17</v>
      </c>
      <c r="B8" s="2" t="s">
        <v>0</v>
      </c>
      <c r="C8" s="2" t="s">
        <v>45</v>
      </c>
      <c r="D8" s="2" t="s">
        <v>18</v>
      </c>
      <c r="E8" s="2" t="s">
        <v>13</v>
      </c>
      <c r="F8" s="2" t="s">
        <v>69</v>
      </c>
      <c r="G8" s="2" t="s">
        <v>42</v>
      </c>
    </row>
    <row r="9" spans="1:7" ht="48.75" customHeight="1" x14ac:dyDescent="0.3">
      <c r="A9" s="3">
        <v>1</v>
      </c>
      <c r="B9" s="4" t="s">
        <v>43</v>
      </c>
      <c r="C9" s="5" t="s">
        <v>4</v>
      </c>
      <c r="D9" s="6" t="s">
        <v>39</v>
      </c>
      <c r="E9" s="7" t="s">
        <v>38</v>
      </c>
      <c r="F9" s="8">
        <v>27093</v>
      </c>
      <c r="G9" s="9"/>
    </row>
    <row r="10" spans="1:7" ht="79.5" customHeight="1" x14ac:dyDescent="0.3">
      <c r="A10" s="3">
        <v>2</v>
      </c>
      <c r="B10" s="10" t="s">
        <v>44</v>
      </c>
      <c r="C10" s="10" t="s">
        <v>2</v>
      </c>
      <c r="D10" s="11" t="s">
        <v>40</v>
      </c>
      <c r="E10" s="12">
        <v>164.3</v>
      </c>
      <c r="F10" s="7" t="s">
        <v>38</v>
      </c>
      <c r="G10" s="9" t="s">
        <v>86</v>
      </c>
    </row>
    <row r="11" spans="1:7" ht="42" customHeight="1" x14ac:dyDescent="0.3">
      <c r="A11" s="3">
        <v>3</v>
      </c>
      <c r="B11" s="5" t="s">
        <v>46</v>
      </c>
      <c r="C11" s="5" t="s">
        <v>3</v>
      </c>
      <c r="D11" s="6" t="s">
        <v>25</v>
      </c>
      <c r="E11" s="7" t="s">
        <v>38</v>
      </c>
      <c r="F11" s="8">
        <f>F9/E10</f>
        <v>164.89957395009128</v>
      </c>
      <c r="G11" s="13"/>
    </row>
    <row r="12" spans="1:7" ht="33.75" customHeight="1" x14ac:dyDescent="0.3">
      <c r="A12" s="3">
        <v>4</v>
      </c>
      <c r="B12" s="10" t="s">
        <v>71</v>
      </c>
      <c r="C12" s="14" t="s">
        <v>47</v>
      </c>
      <c r="D12" s="15" t="s">
        <v>19</v>
      </c>
      <c r="E12" s="16">
        <v>4</v>
      </c>
      <c r="F12" s="7" t="s">
        <v>38</v>
      </c>
      <c r="G12" s="17" t="s">
        <v>50</v>
      </c>
    </row>
    <row r="13" spans="1:7" ht="37.5" x14ac:dyDescent="0.3">
      <c r="A13" s="3">
        <v>5</v>
      </c>
      <c r="B13" s="10" t="s">
        <v>70</v>
      </c>
      <c r="C13" s="18" t="s">
        <v>48</v>
      </c>
      <c r="D13" s="15" t="s">
        <v>20</v>
      </c>
      <c r="E13" s="19">
        <v>24</v>
      </c>
      <c r="F13" s="7" t="s">
        <v>38</v>
      </c>
      <c r="G13" s="13" t="s">
        <v>50</v>
      </c>
    </row>
    <row r="14" spans="1:7" ht="56.25" x14ac:dyDescent="0.3">
      <c r="A14" s="3">
        <v>6</v>
      </c>
      <c r="B14" s="10" t="s">
        <v>21</v>
      </c>
      <c r="C14" s="10" t="s">
        <v>47</v>
      </c>
      <c r="D14" s="15" t="s">
        <v>20</v>
      </c>
      <c r="E14" s="16">
        <v>0</v>
      </c>
      <c r="F14" s="7" t="s">
        <v>38</v>
      </c>
      <c r="G14" s="17" t="s">
        <v>72</v>
      </c>
    </row>
    <row r="15" spans="1:7" ht="37.5" x14ac:dyDescent="0.3">
      <c r="A15" s="3">
        <v>7</v>
      </c>
      <c r="B15" s="5" t="s">
        <v>49</v>
      </c>
      <c r="C15" s="5" t="s">
        <v>5</v>
      </c>
      <c r="D15" s="20" t="s">
        <v>20</v>
      </c>
      <c r="E15" s="7" t="s">
        <v>38</v>
      </c>
      <c r="F15" s="21">
        <f>F11*9%*(E14/E13)</f>
        <v>0</v>
      </c>
      <c r="G15" s="22"/>
    </row>
    <row r="16" spans="1:7" ht="37.5" x14ac:dyDescent="0.3">
      <c r="A16" s="3">
        <v>8</v>
      </c>
      <c r="B16" s="10" t="s">
        <v>22</v>
      </c>
      <c r="C16" s="10" t="s">
        <v>48</v>
      </c>
      <c r="D16" s="23" t="s">
        <v>23</v>
      </c>
      <c r="E16" s="16">
        <v>122</v>
      </c>
      <c r="F16" s="7" t="s">
        <v>38</v>
      </c>
      <c r="G16" s="17" t="s">
        <v>73</v>
      </c>
    </row>
    <row r="17" spans="1:7" ht="93.75" x14ac:dyDescent="0.3">
      <c r="A17" s="3">
        <v>9</v>
      </c>
      <c r="B17" s="10" t="s">
        <v>24</v>
      </c>
      <c r="C17" s="10" t="s">
        <v>48</v>
      </c>
      <c r="D17" s="23" t="s">
        <v>23</v>
      </c>
      <c r="E17" s="16">
        <v>0</v>
      </c>
      <c r="F17" s="7" t="s">
        <v>38</v>
      </c>
      <c r="G17" s="17" t="s">
        <v>77</v>
      </c>
    </row>
    <row r="18" spans="1:7" ht="64.5" customHeight="1" x14ac:dyDescent="0.3">
      <c r="A18" s="3">
        <v>10</v>
      </c>
      <c r="B18" s="5" t="s">
        <v>51</v>
      </c>
      <c r="C18" s="5" t="s">
        <v>6</v>
      </c>
      <c r="D18" s="20" t="s">
        <v>20</v>
      </c>
      <c r="E18" s="7" t="s">
        <v>38</v>
      </c>
      <c r="F18" s="21">
        <f>(F11*24)*(E17/E16)/24</f>
        <v>0</v>
      </c>
      <c r="G18" s="17"/>
    </row>
    <row r="19" spans="1:7" ht="148.5" customHeight="1" x14ac:dyDescent="0.3">
      <c r="A19" s="3">
        <v>11</v>
      </c>
      <c r="B19" s="10" t="s">
        <v>52</v>
      </c>
      <c r="C19" s="10" t="s">
        <v>7</v>
      </c>
      <c r="D19" s="23" t="s">
        <v>20</v>
      </c>
      <c r="E19" s="16">
        <v>2.2000000000000002</v>
      </c>
      <c r="F19" s="21">
        <f>F11*E19</f>
        <v>362.77906269020087</v>
      </c>
      <c r="G19" s="24" t="s">
        <v>53</v>
      </c>
    </row>
    <row r="20" spans="1:7" ht="30" customHeight="1" x14ac:dyDescent="0.3">
      <c r="A20" s="3">
        <v>12</v>
      </c>
      <c r="B20" s="5" t="s">
        <v>54</v>
      </c>
      <c r="C20" s="5" t="s">
        <v>9</v>
      </c>
      <c r="D20" s="25" t="s">
        <v>20</v>
      </c>
      <c r="E20" s="7" t="s">
        <v>38</v>
      </c>
      <c r="F20" s="21">
        <f>(F11+F15+F18+F19)/12</f>
        <v>43.973219720024339</v>
      </c>
      <c r="G20" s="13"/>
    </row>
    <row r="21" spans="1:7" ht="35.25" customHeight="1" x14ac:dyDescent="0.3">
      <c r="A21" s="3">
        <v>13</v>
      </c>
      <c r="B21" s="5" t="s">
        <v>56</v>
      </c>
      <c r="C21" s="5" t="s">
        <v>10</v>
      </c>
      <c r="D21" s="26"/>
      <c r="E21" s="7" t="s">
        <v>38</v>
      </c>
      <c r="F21" s="27">
        <v>0.30199999999999999</v>
      </c>
      <c r="G21" s="13"/>
    </row>
    <row r="22" spans="1:7" ht="40.5" customHeight="1" x14ac:dyDescent="0.3">
      <c r="A22" s="3">
        <v>14</v>
      </c>
      <c r="B22" s="5" t="s">
        <v>55</v>
      </c>
      <c r="C22" s="5" t="s">
        <v>8</v>
      </c>
      <c r="D22" s="20" t="s">
        <v>25</v>
      </c>
      <c r="E22" s="7" t="s">
        <v>38</v>
      </c>
      <c r="F22" s="21">
        <f>(F11+F15+F18+F19+F20)*F21</f>
        <v>172.63886062081554</v>
      </c>
      <c r="G22" s="13"/>
    </row>
    <row r="23" spans="1:7" ht="37.5" x14ac:dyDescent="0.3">
      <c r="A23" s="3">
        <v>15</v>
      </c>
      <c r="B23" s="5" t="s">
        <v>57</v>
      </c>
      <c r="C23" s="4" t="s">
        <v>11</v>
      </c>
      <c r="D23" s="5"/>
      <c r="E23" s="7" t="s">
        <v>38</v>
      </c>
      <c r="F23" s="7">
        <f>E24+F25</f>
        <v>1</v>
      </c>
      <c r="G23" s="13" t="s">
        <v>58</v>
      </c>
    </row>
    <row r="24" spans="1:7" ht="111" customHeight="1" x14ac:dyDescent="0.3">
      <c r="A24" s="3">
        <v>16</v>
      </c>
      <c r="B24" s="28" t="s">
        <v>28</v>
      </c>
      <c r="C24" s="29" t="s">
        <v>60</v>
      </c>
      <c r="D24" s="28"/>
      <c r="E24" s="30">
        <v>1</v>
      </c>
      <c r="F24" s="7" t="s">
        <v>38</v>
      </c>
      <c r="G24" s="31" t="s">
        <v>78</v>
      </c>
    </row>
    <row r="25" spans="1:7" ht="37.5" x14ac:dyDescent="0.3">
      <c r="A25" s="3">
        <v>17</v>
      </c>
      <c r="B25" s="5" t="s">
        <v>26</v>
      </c>
      <c r="C25" s="32" t="s">
        <v>59</v>
      </c>
      <c r="D25" s="5"/>
      <c r="E25" s="7" t="s">
        <v>38</v>
      </c>
      <c r="F25" s="7">
        <f>SUM(E26:E30)</f>
        <v>0</v>
      </c>
      <c r="G25" s="31" t="s">
        <v>33</v>
      </c>
    </row>
    <row r="26" spans="1:7" ht="18.75" x14ac:dyDescent="0.3">
      <c r="A26" s="3">
        <v>18</v>
      </c>
      <c r="B26" s="29" t="s">
        <v>29</v>
      </c>
      <c r="C26" s="28" t="s">
        <v>48</v>
      </c>
      <c r="D26" s="28"/>
      <c r="E26" s="30">
        <v>0</v>
      </c>
      <c r="F26" s="7" t="s">
        <v>38</v>
      </c>
      <c r="G26" s="3" t="s">
        <v>34</v>
      </c>
    </row>
    <row r="27" spans="1:7" ht="18.75" x14ac:dyDescent="0.3">
      <c r="A27" s="3">
        <v>19</v>
      </c>
      <c r="B27" s="33" t="s">
        <v>30</v>
      </c>
      <c r="C27" s="28" t="s">
        <v>48</v>
      </c>
      <c r="D27" s="28"/>
      <c r="E27" s="30">
        <v>0</v>
      </c>
      <c r="F27" s="7" t="s">
        <v>38</v>
      </c>
      <c r="G27" s="3" t="s">
        <v>35</v>
      </c>
    </row>
    <row r="28" spans="1:7" ht="18.75" x14ac:dyDescent="0.3">
      <c r="A28" s="3">
        <v>20</v>
      </c>
      <c r="B28" s="29" t="s">
        <v>27</v>
      </c>
      <c r="C28" s="28" t="s">
        <v>48</v>
      </c>
      <c r="D28" s="28"/>
      <c r="E28" s="30">
        <v>0</v>
      </c>
      <c r="F28" s="7" t="s">
        <v>38</v>
      </c>
      <c r="G28" s="3" t="s">
        <v>36</v>
      </c>
    </row>
    <row r="29" spans="1:7" ht="18.75" x14ac:dyDescent="0.3">
      <c r="A29" s="3">
        <v>21</v>
      </c>
      <c r="B29" s="29" t="s">
        <v>31</v>
      </c>
      <c r="C29" s="28" t="s">
        <v>48</v>
      </c>
      <c r="D29" s="28"/>
      <c r="E29" s="30">
        <v>0</v>
      </c>
      <c r="F29" s="7" t="s">
        <v>38</v>
      </c>
      <c r="G29" s="3" t="s">
        <v>37</v>
      </c>
    </row>
    <row r="30" spans="1:7" ht="18.75" x14ac:dyDescent="0.3">
      <c r="A30" s="3">
        <v>22</v>
      </c>
      <c r="B30" s="29" t="s">
        <v>32</v>
      </c>
      <c r="C30" s="28" t="s">
        <v>48</v>
      </c>
      <c r="D30" s="28"/>
      <c r="E30" s="30">
        <v>0</v>
      </c>
      <c r="F30" s="7" t="s">
        <v>38</v>
      </c>
      <c r="G30" s="3" t="s">
        <v>34</v>
      </c>
    </row>
    <row r="31" spans="1:7" ht="75" x14ac:dyDescent="0.3">
      <c r="A31" s="3">
        <v>23</v>
      </c>
      <c r="B31" s="5" t="s">
        <v>61</v>
      </c>
      <c r="C31" s="5" t="s">
        <v>14</v>
      </c>
      <c r="D31" s="20" t="s">
        <v>25</v>
      </c>
      <c r="E31" s="7" t="s">
        <v>38</v>
      </c>
      <c r="F31" s="21">
        <f>(F11+F15+F18+F19+F20+F22)*F23</f>
        <v>744.29071698113194</v>
      </c>
      <c r="G31" s="13"/>
    </row>
    <row r="32" spans="1:7" ht="56.25" x14ac:dyDescent="0.3">
      <c r="A32" s="3">
        <v>24</v>
      </c>
      <c r="B32" s="5" t="s">
        <v>62</v>
      </c>
      <c r="C32" s="5" t="s">
        <v>1</v>
      </c>
      <c r="D32" s="5" t="s">
        <v>40</v>
      </c>
      <c r="E32" s="7" t="s">
        <v>38</v>
      </c>
      <c r="F32" s="7">
        <f>E16*E13/E12</f>
        <v>732</v>
      </c>
      <c r="G32" s="22"/>
    </row>
    <row r="33" spans="1:13" ht="138" customHeight="1" x14ac:dyDescent="0.3">
      <c r="A33" s="3">
        <v>25</v>
      </c>
      <c r="B33" s="10" t="s">
        <v>66</v>
      </c>
      <c r="C33" s="10" t="s">
        <v>67</v>
      </c>
      <c r="D33" s="10"/>
      <c r="E33" s="16">
        <v>1</v>
      </c>
      <c r="F33" s="7" t="s">
        <v>38</v>
      </c>
      <c r="G33" s="34" t="s">
        <v>79</v>
      </c>
    </row>
    <row r="34" spans="1:13" ht="37.5" x14ac:dyDescent="0.3">
      <c r="A34" s="3">
        <v>26</v>
      </c>
      <c r="B34" s="5" t="s">
        <v>63</v>
      </c>
      <c r="C34" s="5" t="s">
        <v>15</v>
      </c>
      <c r="D34" s="6" t="s">
        <v>39</v>
      </c>
      <c r="E34" s="7" t="s">
        <v>38</v>
      </c>
      <c r="F34" s="8">
        <f>(F31*F32)*E33*0.00002</f>
        <v>10.896416096603774</v>
      </c>
      <c r="G34" s="13"/>
    </row>
    <row r="35" spans="1:13" ht="56.25" x14ac:dyDescent="0.3">
      <c r="A35" s="3">
        <v>27</v>
      </c>
      <c r="B35" s="5" t="s">
        <v>68</v>
      </c>
      <c r="C35" s="5" t="s">
        <v>16</v>
      </c>
      <c r="D35" s="6" t="s">
        <v>39</v>
      </c>
      <c r="E35" s="7" t="s">
        <v>38</v>
      </c>
      <c r="F35" s="8">
        <f>((F31*F32)*E33+F34)*0.00001</f>
        <v>5.4483170124628524</v>
      </c>
      <c r="G35" s="13"/>
    </row>
    <row r="36" spans="1:13" ht="140.25" customHeight="1" x14ac:dyDescent="0.3">
      <c r="A36" s="3">
        <v>28</v>
      </c>
      <c r="B36" s="10" t="s">
        <v>64</v>
      </c>
      <c r="C36" s="10" t="s">
        <v>80</v>
      </c>
      <c r="D36" s="35" t="s">
        <v>39</v>
      </c>
      <c r="E36" s="16">
        <v>0</v>
      </c>
      <c r="F36" s="7" t="s">
        <v>38</v>
      </c>
      <c r="G36" s="36" t="s">
        <v>74</v>
      </c>
    </row>
    <row r="37" spans="1:13" ht="71.25" customHeight="1" x14ac:dyDescent="0.3">
      <c r="A37" s="3">
        <v>29</v>
      </c>
      <c r="B37" s="5" t="s">
        <v>85</v>
      </c>
      <c r="C37" s="37" t="s">
        <v>82</v>
      </c>
      <c r="D37" s="38" t="s">
        <v>39</v>
      </c>
      <c r="E37" s="7" t="s">
        <v>38</v>
      </c>
      <c r="F37" s="8">
        <f>((F31*F32)*E33+F34+F35+E36)*0.4%</f>
        <v>2179.3485982531911</v>
      </c>
      <c r="G37" s="39"/>
    </row>
    <row r="38" spans="1:13" ht="33" customHeight="1" x14ac:dyDescent="0.3">
      <c r="A38" s="3">
        <v>30</v>
      </c>
      <c r="B38" s="5" t="s">
        <v>84</v>
      </c>
      <c r="C38" s="47" t="s">
        <v>83</v>
      </c>
      <c r="D38" s="38" t="s">
        <v>39</v>
      </c>
      <c r="E38" s="7" t="s">
        <v>38</v>
      </c>
      <c r="F38" s="8">
        <f>((F31*F32)*E33+F34+F35+E36)*0.3%</f>
        <v>1634.5114486898933</v>
      </c>
      <c r="G38" s="39"/>
    </row>
    <row r="39" spans="1:13" ht="96.75" customHeight="1" x14ac:dyDescent="0.3">
      <c r="A39" s="3">
        <v>31</v>
      </c>
      <c r="B39" s="29" t="s">
        <v>41</v>
      </c>
      <c r="C39" s="40" t="s">
        <v>65</v>
      </c>
      <c r="D39" s="41"/>
      <c r="E39" s="30">
        <v>1.2</v>
      </c>
      <c r="F39" s="7" t="s">
        <v>38</v>
      </c>
      <c r="G39" s="17" t="s">
        <v>75</v>
      </c>
    </row>
    <row r="40" spans="1:13" ht="56.25" x14ac:dyDescent="0.3">
      <c r="A40" s="3">
        <v>32</v>
      </c>
      <c r="B40" s="42" t="s">
        <v>76</v>
      </c>
      <c r="C40" s="43" t="s">
        <v>12</v>
      </c>
      <c r="D40" s="44" t="s">
        <v>39</v>
      </c>
      <c r="E40" s="7" t="s">
        <v>38</v>
      </c>
      <c r="F40" s="45">
        <f>((F31*F32)*E33+F34+F35+E36)*E39+F37+F38</f>
        <v>657618.43952290039</v>
      </c>
      <c r="G40" s="46"/>
    </row>
    <row r="41" spans="1:13" ht="18.75" x14ac:dyDescent="0.3">
      <c r="A41" s="1"/>
      <c r="B41" s="1"/>
      <c r="C41" s="1"/>
      <c r="D41" s="1"/>
      <c r="E41" s="1"/>
      <c r="F41" s="1"/>
      <c r="G41" s="1"/>
    </row>
    <row r="42" spans="1:13" ht="18.75" x14ac:dyDescent="0.3">
      <c r="A42" s="1"/>
      <c r="B42" s="1"/>
      <c r="C42" s="1"/>
      <c r="D42" s="1"/>
      <c r="E42" s="89" t="s">
        <v>81</v>
      </c>
      <c r="F42" s="89"/>
      <c r="G42" s="67">
        <v>898.39</v>
      </c>
    </row>
    <row r="43" spans="1:13" ht="18.75" x14ac:dyDescent="0.3">
      <c r="A43" s="1"/>
      <c r="B43" s="1"/>
      <c r="C43" s="1"/>
      <c r="D43" s="1"/>
      <c r="E43" s="68"/>
      <c r="F43" s="68"/>
      <c r="G43" s="68"/>
    </row>
    <row r="44" spans="1:13" ht="18.75" x14ac:dyDescent="0.3">
      <c r="A44" s="1"/>
      <c r="B44" s="1"/>
      <c r="C44" s="1"/>
      <c r="D44" s="1"/>
      <c r="E44" s="68"/>
      <c r="F44" s="68"/>
      <c r="G44" s="69">
        <f>F40/732</f>
        <v>898.38584634276015</v>
      </c>
    </row>
    <row r="45" spans="1:13" x14ac:dyDescent="0.25">
      <c r="B45" s="71" t="s">
        <v>91</v>
      </c>
      <c r="C45" s="71"/>
      <c r="D45" s="71"/>
      <c r="E45" s="71"/>
      <c r="F45" s="71"/>
    </row>
    <row r="47" spans="1:13" x14ac:dyDescent="0.25">
      <c r="A47" s="77" t="s">
        <v>92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49"/>
    </row>
    <row r="48" spans="1:13" x14ac:dyDescent="0.25">
      <c r="A48" s="78" t="s">
        <v>112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49"/>
    </row>
    <row r="49" spans="1:13" x14ac:dyDescent="0.25">
      <c r="A49" s="50"/>
      <c r="B49" s="50"/>
      <c r="C49" s="50"/>
      <c r="D49" s="51"/>
      <c r="E49" s="50"/>
      <c r="F49" s="50"/>
      <c r="G49" s="50"/>
      <c r="H49" s="50"/>
      <c r="I49" s="50"/>
      <c r="J49" s="49"/>
      <c r="K49" s="49"/>
      <c r="L49" s="49"/>
      <c r="M49" s="49"/>
    </row>
    <row r="50" spans="1:13" x14ac:dyDescent="0.25">
      <c r="A50" s="79" t="s">
        <v>93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49"/>
    </row>
    <row r="51" spans="1:13" x14ac:dyDescent="0.25">
      <c r="A51" s="49"/>
      <c r="B51" s="49"/>
      <c r="C51" s="49"/>
      <c r="D51" s="52"/>
      <c r="E51" s="49"/>
      <c r="F51" s="49"/>
      <c r="G51" s="49"/>
      <c r="H51" s="49"/>
      <c r="I51" s="49"/>
      <c r="J51" s="49"/>
      <c r="K51" s="49"/>
      <c r="L51" s="49"/>
      <c r="M51" s="49"/>
    </row>
    <row r="52" spans="1:13" x14ac:dyDescent="0.25">
      <c r="A52" s="80" t="s">
        <v>94</v>
      </c>
      <c r="B52" s="81" t="s">
        <v>95</v>
      </c>
      <c r="C52" s="80" t="s">
        <v>96</v>
      </c>
      <c r="D52" s="83" t="s">
        <v>97</v>
      </c>
      <c r="E52" s="80" t="s">
        <v>98</v>
      </c>
      <c r="F52" s="80" t="s">
        <v>99</v>
      </c>
      <c r="G52" s="84" t="s">
        <v>100</v>
      </c>
      <c r="H52" s="85"/>
      <c r="I52" s="85"/>
      <c r="J52" s="84" t="s">
        <v>101</v>
      </c>
      <c r="K52" s="85"/>
      <c r="L52" s="86"/>
      <c r="M52" s="72" t="s">
        <v>102</v>
      </c>
    </row>
    <row r="53" spans="1:13" ht="152.25" customHeight="1" x14ac:dyDescent="0.25">
      <c r="A53" s="80"/>
      <c r="B53" s="82"/>
      <c r="C53" s="80"/>
      <c r="D53" s="83"/>
      <c r="E53" s="80"/>
      <c r="F53" s="80"/>
      <c r="G53" s="53" t="s">
        <v>113</v>
      </c>
      <c r="H53" s="53" t="s">
        <v>114</v>
      </c>
      <c r="I53" s="53" t="s">
        <v>115</v>
      </c>
      <c r="J53" s="54" t="s">
        <v>103</v>
      </c>
      <c r="K53" s="54" t="s">
        <v>104</v>
      </c>
      <c r="L53" s="55" t="s">
        <v>105</v>
      </c>
      <c r="M53" s="73"/>
    </row>
    <row r="54" spans="1:13" ht="84" customHeight="1" x14ac:dyDescent="0.25">
      <c r="A54" s="56">
        <v>1</v>
      </c>
      <c r="B54" s="57" t="s">
        <v>106</v>
      </c>
      <c r="C54" s="57" t="s">
        <v>107</v>
      </c>
      <c r="D54" s="58" t="s">
        <v>108</v>
      </c>
      <c r="E54" s="56" t="s">
        <v>109</v>
      </c>
      <c r="F54" s="56">
        <v>2928</v>
      </c>
      <c r="G54" s="59">
        <v>360</v>
      </c>
      <c r="H54" s="59">
        <v>380</v>
      </c>
      <c r="I54" s="59">
        <v>400</v>
      </c>
      <c r="J54" s="60">
        <f>ROUND((G54+H54+I54)/3,2)</f>
        <v>380</v>
      </c>
      <c r="K54" s="61">
        <v>20</v>
      </c>
      <c r="L54" s="62">
        <v>5.26</v>
      </c>
      <c r="M54" s="66">
        <f>J54*F54</f>
        <v>1112640</v>
      </c>
    </row>
    <row r="55" spans="1:13" x14ac:dyDescent="0.25">
      <c r="A55" s="74" t="s">
        <v>110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6"/>
      <c r="M55" s="63">
        <f>M54</f>
        <v>1112640</v>
      </c>
    </row>
    <row r="56" spans="1:13" x14ac:dyDescent="0.25">
      <c r="A56" s="74" t="s">
        <v>111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6"/>
      <c r="M56" s="63">
        <f>M55</f>
        <v>1112640</v>
      </c>
    </row>
    <row r="57" spans="1:13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5"/>
    </row>
    <row r="58" spans="1:13" x14ac:dyDescent="0.25">
      <c r="B58" s="71" t="s">
        <v>116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</row>
    <row r="61" spans="1:13" x14ac:dyDescent="0.25">
      <c r="A61" s="71" t="s">
        <v>117</v>
      </c>
      <c r="B61" s="71"/>
      <c r="C61" s="71"/>
      <c r="D61" s="71"/>
      <c r="E61" s="71"/>
    </row>
    <row r="62" spans="1:13" x14ac:dyDescent="0.25">
      <c r="B62" s="70">
        <v>46065</v>
      </c>
    </row>
  </sheetData>
  <mergeCells count="20">
    <mergeCell ref="A4:G4"/>
    <mergeCell ref="A6:G6"/>
    <mergeCell ref="B45:F45"/>
    <mergeCell ref="E42:F42"/>
    <mergeCell ref="A61:E61"/>
    <mergeCell ref="M52:M53"/>
    <mergeCell ref="A55:L55"/>
    <mergeCell ref="A56:L56"/>
    <mergeCell ref="A47:L47"/>
    <mergeCell ref="B58:L58"/>
    <mergeCell ref="A48:L48"/>
    <mergeCell ref="A50:L50"/>
    <mergeCell ref="A52:A53"/>
    <mergeCell ref="B52:B53"/>
    <mergeCell ref="C52:C53"/>
    <mergeCell ref="D52:D53"/>
    <mergeCell ref="E52:E53"/>
    <mergeCell ref="F52:F53"/>
    <mergeCell ref="G52:I52"/>
    <mergeCell ref="J52:L52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Васильевна Горохова</dc:creator>
  <cp:lastModifiedBy>Ловыгина Наталья Борисовна</cp:lastModifiedBy>
  <cp:lastPrinted>2026-02-16T10:17:30Z</cp:lastPrinted>
  <dcterms:created xsi:type="dcterms:W3CDTF">2021-05-21T08:15:36Z</dcterms:created>
  <dcterms:modified xsi:type="dcterms:W3CDTF">2026-02-17T06:55:46Z</dcterms:modified>
</cp:coreProperties>
</file>